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oncrete Calculator" sheetId="2" state="visible" r:id="rId2"/>
    <sheet xmlns:r="http://schemas.openxmlformats.org/officeDocument/2006/relationships" name="Steel Weight Calculator" sheetId="3" state="visible" r:id="rId3"/>
    <sheet xmlns:r="http://schemas.openxmlformats.org/officeDocument/2006/relationships" name="Brick Masonry Estimator" sheetId="4" state="visible" r:id="rId4"/>
    <sheet xmlns:r="http://schemas.openxmlformats.org/officeDocument/2006/relationships" name="Plaster Calculator" sheetId="5" state="visible" r:id="rId5"/>
    <sheet xmlns:r="http://schemas.openxmlformats.org/officeDocument/2006/relationships" name="BOQ Estimate Sheet" sheetId="6" state="visible" r:id="rId6"/>
    <sheet xmlns:r="http://schemas.openxmlformats.org/officeDocument/2006/relationships" name="Earthwork Calculator" sheetId="7" state="visible" r:id="rId7"/>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000"/>
  </numFmts>
  <fonts count="6">
    <font>
      <name val="Calibri"/>
      <family val="2"/>
      <color theme="1"/>
      <sz val="11"/>
      <scheme val="minor"/>
    </font>
    <font>
      <name val="Calibri"/>
      <b val="1"/>
      <color rgb="00FFFFFF"/>
      <sz val="16"/>
    </font>
    <font>
      <name val="Calibri"/>
      <i val="1"/>
      <color rgb="00404040"/>
      <sz val="10"/>
    </font>
    <font>
      <name val="Calibri"/>
      <b val="1"/>
      <sz val="11"/>
    </font>
    <font>
      <name val="Calibri"/>
      <sz val="11"/>
    </font>
    <font>
      <name val="Calibri"/>
      <b val="1"/>
      <color rgb="00FFFFFF"/>
      <sz val="11"/>
    </font>
  </fonts>
  <fills count="6">
    <fill>
      <patternFill/>
    </fill>
    <fill>
      <patternFill patternType="gray125"/>
    </fill>
    <fill>
      <patternFill patternType="solid">
        <fgColor rgb="000A2540"/>
      </patternFill>
    </fill>
    <fill>
      <patternFill patternType="solid">
        <fgColor rgb="00FFFFE0"/>
      </patternFill>
    </fill>
    <fill>
      <patternFill patternType="solid">
        <fgColor rgb="00DDEBF7"/>
      </patternFill>
    </fill>
    <fill>
      <patternFill patternType="solid">
        <fgColor rgb="000E7C7B"/>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0" borderId="0" pivotButton="0" quotePrefix="0" xfId="0"/>
    <xf numFmtId="0" fontId="4" fillId="0" borderId="0" applyAlignment="1" pivotButton="0" quotePrefix="0" xfId="0">
      <alignment vertical="top" wrapText="1"/>
    </xf>
    <xf numFmtId="0" fontId="4" fillId="3" borderId="1" pivotButton="0" quotePrefix="0" xfId="0"/>
    <xf numFmtId="0" fontId="5" fillId="2" borderId="0" applyAlignment="1" pivotButton="0" quotePrefix="0" xfId="0">
      <alignment horizontal="center"/>
    </xf>
    <xf numFmtId="0" fontId="4" fillId="0" borderId="0" pivotButton="0" quotePrefix="0" xfId="0"/>
    <xf numFmtId="0" fontId="3" fillId="0" borderId="0" applyAlignment="1" pivotButton="0" quotePrefix="0" xfId="0">
      <alignment horizontal="center"/>
    </xf>
    <xf numFmtId="0" fontId="0" fillId="0" borderId="0" applyAlignment="1" pivotButton="0" quotePrefix="0" xfId="0">
      <alignment horizontal="center"/>
    </xf>
    <xf numFmtId="4" fontId="4" fillId="3" borderId="1" pivotButton="0" quotePrefix="0" xfId="0"/>
    <xf numFmtId="164" fontId="4" fillId="3" borderId="1" pivotButton="0" quotePrefix="0" xfId="0"/>
    <xf numFmtId="164" fontId="3" fillId="4" borderId="1" pivotButton="0" quotePrefix="0" xfId="0"/>
    <xf numFmtId="4" fontId="3" fillId="4" borderId="1" pivotButton="0" quotePrefix="0" xfId="0"/>
    <xf numFmtId="165" fontId="4" fillId="3" borderId="1" pivotButton="0" quotePrefix="0" xfId="0"/>
    <xf numFmtId="3" fontId="4" fillId="3" borderId="1" pivotButton="0" quotePrefix="0" xfId="0"/>
    <xf numFmtId="0" fontId="5" fillId="5" borderId="0" applyAlignment="1" pivotButton="0" quotePrefix="0" xfId="0">
      <alignment vertical="center"/>
    </xf>
    <xf numFmtId="165" fontId="3" fillId="4" borderId="1" pivotButton="0" quotePrefix="0" xfId="0"/>
    <xf numFmtId="0" fontId="2" fillId="0" borderId="0" applyAlignment="1" pivotButton="0" quotePrefix="0" xfId="0">
      <alignment vertical="top" wrapText="1"/>
    </xf>
    <xf numFmtId="0" fontId="5" fillId="2" borderId="0" applyAlignment="1" pivotButton="0" quotePrefix="0" xfId="0">
      <alignment horizontal="center" wrapText="1"/>
    </xf>
    <xf numFmtId="0" fontId="2" fillId="0" borderId="0" pivotButton="0" quotePrefix="0" xfId="0"/>
    <xf numFmtId="166" fontId="3" fillId="4" borderId="1" pivotButton="0" quotePrefix="0" xfId="0"/>
    <xf numFmtId="3" fontId="3" fillId="4" borderId="1" pivotButton="0" quotePrefix="0" xfId="0"/>
    <xf numFmtId="0" fontId="5"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12"/>
  <sheetViews>
    <sheetView workbookViewId="0">
      <selection activeCell="A1" sqref="A1"/>
    </sheetView>
  </sheetViews>
  <sheetFormatPr baseColWidth="8" defaultRowHeight="15"/>
  <cols>
    <col width="3" customWidth="1" min="1" max="1"/>
    <col width="26" customWidth="1" min="2" max="2"/>
    <col width="95" customWidth="1" min="3" max="3"/>
  </cols>
  <sheetData>
    <row r="1" ht="30" customHeight="1">
      <c r="A1" s="1" t="inlineStr">
        <is>
          <t>Civil Engineering Excel Toolkit</t>
        </is>
      </c>
    </row>
    <row r="2" ht="26" customHeight="1">
      <c r="A2" s="2" t="inlineStr">
        <is>
          <t>Quantity calculators for civil engineers, contractors and site supervisors.</t>
        </is>
      </c>
    </row>
    <row r="4" ht="58" customHeight="1">
      <c r="B4" s="3" t="inlineStr">
        <is>
          <t>HOW TO USE</t>
        </is>
      </c>
      <c r="C4" s="4" t="inlineStr">
        <is>
          <t>Type only in the light-yellow cells. Every bold blue cell is a live Excel formula — change an input and all results update instantly. Do not type over a blue cell.</t>
        </is>
      </c>
    </row>
    <row r="5" ht="58" customHeight="1">
      <c r="B5" s="3" t="inlineStr">
        <is>
          <t>UNITS — MKS &amp; FPS</t>
        </is>
      </c>
      <c r="C5" s="4" t="inlineStr">
        <is>
          <t>Every calculator has a Unit system selector at the top. MKS = metric (metres, mm, kg, tonnes). FPS = imperial (feet, inches, lb, US tons). Flip the selector and the input labels and every conversion change with it — lengths are read as feet, thicknesses as inches, and volumes/weights come out in cft, cubic yards and lb. Cement is counted in 50 kg bags in both systems. The BOQ sheet's Unit column is free text, so it works with whichever system you are using.</t>
        </is>
      </c>
    </row>
    <row r="6" ht="58" customHeight="1">
      <c r="B6" s="3" t="inlineStr">
        <is>
          <t>Concrete Calculator</t>
        </is>
      </c>
      <c r="C6" s="4" t="inlineStr">
        <is>
          <t>Enter the element size (length × width × depth) OR a direct wet volume, pick the mix grade (M10–M30) and the built-in ratio table fills in cement, sand, aggregate and water — in m³, cft, kg, lb and 50 kg bags.</t>
        </is>
      </c>
    </row>
    <row r="7" ht="58" customHeight="1">
      <c r="B7" s="3" t="inlineStr">
        <is>
          <t>Steel Weight Calculator</t>
        </is>
      </c>
      <c r="C7" s="4" t="inlineStr">
        <is>
          <t>One row per bar size: diameter (mm), number of bars, length per bar. Uses the standard unit weight d²/162 kg/m and totals kg, tonnes, lb and US tons for the whole list.</t>
        </is>
      </c>
    </row>
    <row r="8" ht="58" customHeight="1">
      <c r="B8" s="3" t="inlineStr">
        <is>
          <t>Brick Masonry Estimator</t>
        </is>
      </c>
      <c r="C8" s="4" t="inlineStr">
        <is>
          <t>Wall size, brick size and mortar joint go in; bricks required, mortar, cement bags and sand come out. Mortar ratio 1:4 or 1:6 selectable. In FPS the standard US modular brick is 8 × 3.625 × 2.25 in with a 0.375 in joint.</t>
        </is>
      </c>
    </row>
    <row r="9" ht="58" customHeight="1">
      <c r="B9" s="3" t="inlineStr">
        <is>
          <t>Plaster Calculator</t>
        </is>
      </c>
      <c r="C9" s="4" t="inlineStr">
        <is>
          <t>Wall length × height (or a direct area), plaster thickness and ratio give mortar, cement and sand quantities.</t>
        </is>
      </c>
    </row>
    <row r="10" ht="58" customHeight="1">
      <c r="B10" s="3" t="inlineStr">
        <is>
          <t>BOQ Estimate Sheet</t>
        </is>
      </c>
      <c r="C10" s="4" t="inlineStr">
        <is>
          <t>A ready bill-of-quantities format with common civil items pre-listed. Fill in your quantities and your local rates (PKR) — amounts, section subtotals, contingency and the grand total calculate themselves.</t>
        </is>
      </c>
    </row>
    <row r="11" ht="58" customHeight="1">
      <c r="B11" s="3" t="inlineStr">
        <is>
          <t>Earthwork Calculator</t>
        </is>
      </c>
      <c r="C11" s="4" t="inlineStr">
        <is>
          <t>Plot length × width × average depth gives excavation/filling volume in m³, cft and cubic yards, plus trolley/truck trips at your vehicle's capacity.</t>
        </is>
      </c>
    </row>
    <row r="12" ht="58" customHeight="1">
      <c r="B12" s="3" t="inlineStr">
        <is>
          <t>NOTES</t>
        </is>
      </c>
      <c r="C12" s="4" t="inlineStr">
        <is>
          <t>Standard assumptions are shown as editable inputs (dry-volume factor 1.54 for concrete, 1.30 for mortar, cement density 1,440 kg/m³, 1 m = 3.28084 ft, 1 m³ = 35.3147 cft = 1.30795 yd³, 1 kg = 2.20462 lb). Always confirm quantities against your drawings and local practice before ordering.</t>
        </is>
      </c>
    </row>
  </sheetData>
  <mergeCells count="2">
    <mergeCell ref="A1:C1"/>
    <mergeCell ref="A2:C2"/>
  </mergeCells>
  <printOptions horizontalCentered="1"/>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J40"/>
  <sheetViews>
    <sheetView workbookViewId="0">
      <pane ySplit="2" topLeftCell="A3" activePane="bottomLeft" state="frozen"/>
      <selection pane="bottomLeft" activeCell="A1" sqref="A1"/>
    </sheetView>
  </sheetViews>
  <sheetFormatPr baseColWidth="8" defaultRowHeight="15"/>
  <cols>
    <col width="3" customWidth="1" min="1" max="1"/>
    <col width="46" customWidth="1" min="2" max="2"/>
    <col width="16" customWidth="1" min="3" max="3"/>
    <col width="12" customWidth="1" min="4" max="4"/>
    <col width="3" customWidth="1" min="5" max="5"/>
    <col width="10" customWidth="1" min="6" max="6"/>
    <col width="10" customWidth="1" min="7" max="7"/>
    <col width="10" customWidth="1" min="8" max="8"/>
    <col width="10" customWidth="1" min="9" max="9"/>
    <col width="10" customWidth="1" min="10" max="10"/>
  </cols>
  <sheetData>
    <row r="1" ht="30" customHeight="1">
      <c r="A1" s="1" t="inlineStr">
        <is>
          <t>Concrete Calculator</t>
        </is>
      </c>
    </row>
    <row r="2" ht="26" customHeight="1">
      <c r="A2" s="2" t="inlineStr">
        <is>
          <t>Light-yellow cells are inputs. Bold blue cells are formula results — do not type over them.</t>
        </is>
      </c>
    </row>
    <row r="3">
      <c r="B3" s="3" t="inlineStr">
        <is>
          <t>Unit system — MKS (metric) or FPS (imperial)</t>
        </is>
      </c>
      <c r="C3" s="5" t="inlineStr">
        <is>
          <t>MKS</t>
        </is>
      </c>
      <c r="F3" s="6" t="inlineStr">
        <is>
          <t>Grade</t>
        </is>
      </c>
      <c r="G3" s="6" t="inlineStr">
        <is>
          <t>Cement</t>
        </is>
      </c>
      <c r="H3" s="6" t="inlineStr">
        <is>
          <t>Sand</t>
        </is>
      </c>
      <c r="I3" s="6" t="inlineStr">
        <is>
          <t>Agg.</t>
        </is>
      </c>
      <c r="J3" s="6" t="inlineStr">
        <is>
          <t>Total</t>
        </is>
      </c>
    </row>
    <row r="4">
      <c r="B4" s="7" t="inlineStr">
        <is>
          <t>Element / item name</t>
        </is>
      </c>
      <c r="C4" s="5" t="inlineStr">
        <is>
          <t>Slab</t>
        </is>
      </c>
      <c r="F4" s="8" t="inlineStr">
        <is>
          <t>M10</t>
        </is>
      </c>
      <c r="G4" s="9" t="n">
        <v>1</v>
      </c>
      <c r="H4" s="9" t="n">
        <v>3</v>
      </c>
      <c r="I4" s="9" t="n">
        <v>6</v>
      </c>
      <c r="J4" s="9">
        <f>SUM(G4:I4)</f>
        <v/>
      </c>
    </row>
    <row r="5">
      <c r="B5">
        <f>"Length ("&amp;IF($C$3="FPS","ft","m")&amp;")"</f>
        <v/>
      </c>
      <c r="C5" s="10" t="n">
        <v>5</v>
      </c>
      <c r="F5" s="8" t="inlineStr">
        <is>
          <t>M15</t>
        </is>
      </c>
      <c r="G5" s="9" t="n">
        <v>1</v>
      </c>
      <c r="H5" s="9" t="n">
        <v>2</v>
      </c>
      <c r="I5" s="9" t="n">
        <v>4</v>
      </c>
      <c r="J5" s="9">
        <f>SUM(G5:I5)</f>
        <v/>
      </c>
    </row>
    <row r="6">
      <c r="B6">
        <f>"Width ("&amp;IF($C$3="FPS","ft","m")&amp;")"</f>
        <v/>
      </c>
      <c r="C6" s="10" t="n">
        <v>3</v>
      </c>
      <c r="F6" s="8" t="inlineStr">
        <is>
          <t>M20</t>
        </is>
      </c>
      <c r="G6" s="9" t="n">
        <v>1</v>
      </c>
      <c r="H6" s="9" t="n">
        <v>1.5</v>
      </c>
      <c r="I6" s="9" t="n">
        <v>3</v>
      </c>
      <c r="J6" s="9">
        <f>SUM(G6:I6)</f>
        <v/>
      </c>
    </row>
    <row r="7">
      <c r="B7">
        <f>"Depth / thickness ("&amp;IF($C$3="FPS","in","m")&amp;")"</f>
        <v/>
      </c>
      <c r="C7" s="11" t="n">
        <v>0.15</v>
      </c>
      <c r="F7" s="8" t="inlineStr">
        <is>
          <t>M25</t>
        </is>
      </c>
      <c r="G7" s="9" t="n">
        <v>1</v>
      </c>
      <c r="H7" s="9" t="n">
        <v>1</v>
      </c>
      <c r="I7" s="9" t="n">
        <v>2</v>
      </c>
      <c r="J7" s="9">
        <f>SUM(G7:I7)</f>
        <v/>
      </c>
    </row>
    <row r="8">
      <c r="B8" s="7" t="inlineStr">
        <is>
          <t>Wet volume from dimensions (m³)</t>
        </is>
      </c>
      <c r="C8" s="12">
        <f>IF($C$3="FPS",(C5/3.28084)*(C6/3.28084)*(C7*0.0254),C5*C6*C7)</f>
        <v/>
      </c>
      <c r="F8" s="8" t="inlineStr">
        <is>
          <t>M30</t>
        </is>
      </c>
      <c r="G8" s="9" t="n">
        <v>1</v>
      </c>
      <c r="H8" s="9" t="n">
        <v>0.75</v>
      </c>
      <c r="I8" s="9" t="n">
        <v>1.5</v>
      </c>
      <c r="J8" s="9">
        <f>SUM(G8:I8)</f>
        <v/>
      </c>
    </row>
    <row r="9">
      <c r="B9">
        <f>"OR direct wet volume ("&amp;IF($C$3="FPS","cft","m³")&amp;") — leave blank to use dimensions"</f>
        <v/>
      </c>
      <c r="C9" s="11" t="n"/>
    </row>
    <row r="10">
      <c r="B10" s="3" t="inlineStr">
        <is>
          <t>Wet volume used (m³)</t>
        </is>
      </c>
      <c r="C10" s="12">
        <f>IF(OR(C9="",C9=0),C8,IF($C$3="FPS",C9/35.3147,C9))</f>
        <v/>
      </c>
    </row>
    <row r="11">
      <c r="B11" s="7" t="inlineStr">
        <is>
          <t>Mix grade</t>
        </is>
      </c>
      <c r="C11" s="5" t="inlineStr">
        <is>
          <t>M20</t>
        </is>
      </c>
    </row>
    <row r="12">
      <c r="B12" s="7" t="inlineStr">
        <is>
          <t>Cement part (from table)</t>
        </is>
      </c>
      <c r="C12" s="13">
        <f>VLOOKUP(C11,$F$4:$J$8,2,FALSE)</f>
        <v/>
      </c>
    </row>
    <row r="13">
      <c r="B13" s="7" t="inlineStr">
        <is>
          <t>Sand part (from table)</t>
        </is>
      </c>
      <c r="C13" s="13">
        <f>VLOOKUP(C11,$F$4:$J$8,3,FALSE)</f>
        <v/>
      </c>
    </row>
    <row r="14">
      <c r="B14" s="7" t="inlineStr">
        <is>
          <t>Aggregate part (from table)</t>
        </is>
      </c>
      <c r="C14" s="13">
        <f>VLOOKUP(C11,$F$4:$J$8,4,FALSE)</f>
        <v/>
      </c>
    </row>
    <row r="15">
      <c r="B15" s="7" t="inlineStr">
        <is>
          <t>Total parts</t>
        </is>
      </c>
      <c r="C15" s="13">
        <f>VLOOKUP(C11,$F$4:$J$8,5,FALSE)</f>
        <v/>
      </c>
    </row>
    <row r="16">
      <c r="B16" s="7" t="inlineStr">
        <is>
          <t>Dry volume factor</t>
        </is>
      </c>
      <c r="C16" s="10" t="n">
        <v>1.54</v>
      </c>
    </row>
    <row r="17">
      <c r="B17" s="7" t="inlineStr">
        <is>
          <t>Wastage (%)</t>
        </is>
      </c>
      <c r="C17" s="14" t="n">
        <v>5</v>
      </c>
    </row>
    <row r="18">
      <c r="B18" s="7" t="inlineStr">
        <is>
          <t>Water–cement ratio</t>
        </is>
      </c>
      <c r="C18" s="10" t="n">
        <v>0.5</v>
      </c>
    </row>
    <row r="19">
      <c r="B19" s="7" t="inlineStr">
        <is>
          <t>Cement density (kg/m³)</t>
        </is>
      </c>
      <c r="C19" s="15" t="n">
        <v>1440</v>
      </c>
    </row>
    <row r="21" ht="20" customHeight="1">
      <c r="A21" s="16" t="inlineStr">
        <is>
          <t>RESULTS</t>
        </is>
      </c>
    </row>
    <row r="22">
      <c r="B22" s="3" t="inlineStr">
        <is>
          <t>Dry volume (m³) — before wastage</t>
        </is>
      </c>
      <c r="C22" s="12">
        <f>C10*C16</f>
        <v/>
      </c>
    </row>
    <row r="23">
      <c r="B23" s="7" t="inlineStr">
        <is>
          <t>Dry volume incl. wastage (m³)</t>
        </is>
      </c>
      <c r="C23" s="12">
        <f>C22*(1+C17/100)</f>
        <v/>
      </c>
    </row>
    <row r="24">
      <c r="B24" s="7" t="inlineStr">
        <is>
          <t>Wet volume (cft)</t>
        </is>
      </c>
      <c r="C24" s="13">
        <f>C10*35.3147</f>
        <v/>
      </c>
    </row>
    <row r="25">
      <c r="B25" s="7" t="inlineStr">
        <is>
          <t>Wet volume (yd³)</t>
        </is>
      </c>
      <c r="C25" s="12">
        <f>C10*1.30795</f>
        <v/>
      </c>
    </row>
    <row r="26">
      <c r="B26" s="7" t="inlineStr">
        <is>
          <t>Cement volume (m³)</t>
        </is>
      </c>
      <c r="C26" s="12">
        <f>C22*C12/C15</f>
        <v/>
      </c>
    </row>
    <row r="27">
      <c r="B27" s="7" t="inlineStr">
        <is>
          <t>Cement weight (kg)</t>
        </is>
      </c>
      <c r="C27" s="17">
        <f>C26*C19</f>
        <v/>
      </c>
    </row>
    <row r="28">
      <c r="B28" s="7" t="inlineStr">
        <is>
          <t>Cement weight (lb)</t>
        </is>
      </c>
      <c r="C28" s="17">
        <f>C27*2.20462</f>
        <v/>
      </c>
    </row>
    <row r="29">
      <c r="B29" s="3" t="inlineStr">
        <is>
          <t>Cement bags (50 kg) — before wastage</t>
        </is>
      </c>
      <c r="C29" s="13">
        <f>C27/50</f>
        <v/>
      </c>
    </row>
    <row r="30">
      <c r="B30" s="7" t="inlineStr">
        <is>
          <t>Cement bags incl. wastage</t>
        </is>
      </c>
      <c r="C30" s="13">
        <f>C29*(1+C17/100)</f>
        <v/>
      </c>
    </row>
    <row r="31">
      <c r="B31" s="7" t="inlineStr">
        <is>
          <t>Sand volume (m³)</t>
        </is>
      </c>
      <c r="C31" s="12">
        <f>C22*C13/C15</f>
        <v/>
      </c>
    </row>
    <row r="32">
      <c r="B32" s="7" t="inlineStr">
        <is>
          <t>Sand (cft)</t>
        </is>
      </c>
      <c r="C32" s="17">
        <f>C31*35.3147</f>
        <v/>
      </c>
    </row>
    <row r="33">
      <c r="B33" s="7" t="inlineStr">
        <is>
          <t>Sand incl. wastage (cft)</t>
        </is>
      </c>
      <c r="C33" s="17">
        <f>C32*(1+C17/100)</f>
        <v/>
      </c>
    </row>
    <row r="34">
      <c r="B34" s="7" t="inlineStr">
        <is>
          <t>Aggregate volume (m³)</t>
        </is>
      </c>
      <c r="C34" s="12">
        <f>C22*C14/C15</f>
        <v/>
      </c>
    </row>
    <row r="35">
      <c r="B35" s="7" t="inlineStr">
        <is>
          <t>Aggregate (cft)</t>
        </is>
      </c>
      <c r="C35" s="17">
        <f>C34*35.3147</f>
        <v/>
      </c>
    </row>
    <row r="36">
      <c r="B36" s="7" t="inlineStr">
        <is>
          <t>Aggregate incl. wastage (cft)</t>
        </is>
      </c>
      <c r="C36" s="17">
        <f>C35*(1+C17/100)</f>
        <v/>
      </c>
    </row>
    <row r="37">
      <c r="B37" s="7" t="inlineStr">
        <is>
          <t>Water required (litres)</t>
        </is>
      </c>
      <c r="C37" s="17">
        <f>C27*C18</f>
        <v/>
      </c>
    </row>
    <row r="39">
      <c r="B39" s="18" t="inlineStr">
        <is>
          <t>How it works: dry volume = wet volume × 1.54. Each material takes its share of the dry volume by the mix ratio (e.g. M20 = 1 : 1.5 : 3, total 5.5 parts). Cement bags = cement kg ÷ 50. Water = cement kg × water–cement ratio. In FPS, length/width are feet and depth is inches. Verify against your drawings before ordering.</t>
        </is>
      </c>
    </row>
    <row r="40"/>
  </sheetData>
  <mergeCells count="4">
    <mergeCell ref="A1:J1"/>
    <mergeCell ref="B39:J40"/>
    <mergeCell ref="A21:D21"/>
    <mergeCell ref="A2:J2"/>
  </mergeCells>
  <dataValidations count="2">
    <dataValidation sqref="C3" showDropDown="0" showInputMessage="0" showErrorMessage="0" allowBlank="1" prompt="MKS = metres/mm/kg. FPS = feet/inches/lb." type="list">
      <formula1>"MKS,FPS"</formula1>
    </dataValidation>
    <dataValidation sqref="C11" showDropDown="0" showInputMessage="0" showErrorMessage="0" allowBlank="1" type="list">
      <formula1>"M10,M15,M20,M25,M30"</formula1>
    </dataValidation>
  </dataValidations>
  <printOptions horizontalCentered="1"/>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H33"/>
  <sheetViews>
    <sheetView workbookViewId="0">
      <pane ySplit="5" topLeftCell="A6" activePane="bottomLeft" state="frozen"/>
      <selection pane="bottomLeft" activeCell="A1" sqref="A1"/>
    </sheetView>
  </sheetViews>
  <sheetFormatPr baseColWidth="8" defaultRowHeight="15"/>
  <cols>
    <col width="8" customWidth="1" min="1" max="1"/>
    <col width="14" customWidth="1" min="2" max="2"/>
    <col width="14" customWidth="1" min="3" max="3"/>
    <col width="18" customWidth="1" min="4" max="4"/>
    <col width="18" customWidth="1" min="5" max="5"/>
    <col width="18" customWidth="1" min="6" max="6"/>
    <col width="18" customWidth="1" min="7" max="7"/>
    <col width="18" customWidth="1" min="8" max="8"/>
  </cols>
  <sheetData>
    <row r="1" ht="30" customHeight="1">
      <c r="A1" s="1" t="inlineStr">
        <is>
          <t>Steel Weight Calculator</t>
        </is>
      </c>
    </row>
    <row r="2" ht="26" customHeight="1">
      <c r="A2" s="2" t="inlineStr">
        <is>
          <t>Unit weight = d² / 162 kg per metre. Bar diameter is in mm in both systems; length follows the unit selector.</t>
        </is>
      </c>
    </row>
    <row r="3">
      <c r="A3" s="3" t="inlineStr">
        <is>
          <t>Unit system — MKS or FPS</t>
        </is>
      </c>
      <c r="D3" s="5" t="inlineStr">
        <is>
          <t>MKS</t>
        </is>
      </c>
    </row>
    <row r="5" ht="30" customHeight="1">
      <c r="A5" s="19" t="inlineStr">
        <is>
          <t>S.No</t>
        </is>
      </c>
      <c r="B5" s="19" t="inlineStr">
        <is>
          <t>Bar dia (mm)</t>
        </is>
      </c>
      <c r="C5" s="19" t="inlineStr">
        <is>
          <t>No. of bars</t>
        </is>
      </c>
      <c r="D5" s="19">
        <f>"Length per bar ("&amp;IF($D$3="FPS","ft","m")&amp;")"</f>
        <v/>
      </c>
      <c r="E5" s="19" t="inlineStr">
        <is>
          <t>Unit weight (kg/m)</t>
        </is>
      </c>
      <c r="F5" s="19" t="inlineStr">
        <is>
          <t>Total length (m)</t>
        </is>
      </c>
      <c r="G5" s="19" t="inlineStr">
        <is>
          <t>Total weight (kg)</t>
        </is>
      </c>
      <c r="H5" s="19" t="inlineStr">
        <is>
          <t>Total weight (lb)</t>
        </is>
      </c>
    </row>
    <row r="6">
      <c r="A6" s="9" t="n">
        <v>1</v>
      </c>
      <c r="B6" s="15" t="n">
        <v>8</v>
      </c>
      <c r="C6" s="15" t="n">
        <v>20</v>
      </c>
      <c r="D6" s="10" t="n">
        <v>12</v>
      </c>
      <c r="E6" s="12">
        <f>IF(B6="","",B6^2/162)</f>
        <v/>
      </c>
      <c r="F6" s="13">
        <f>IF(OR(C6="",D6=""),"",IF($D$3="FPS",C6*D6/3.28084,C6*D6))</f>
        <v/>
      </c>
      <c r="G6" s="13">
        <f>IF(OR(B6="",C6="",D6=""),"",(B6^2/162)*IF($D$3="FPS",C6*D6/3.28084,C6*D6))</f>
        <v/>
      </c>
      <c r="H6" s="13">
        <f>IF(G6="","",G6*2.20462)</f>
        <v/>
      </c>
    </row>
    <row r="7">
      <c r="A7" s="9" t="n">
        <v>2</v>
      </c>
      <c r="B7" s="15" t="n">
        <v>10</v>
      </c>
      <c r="C7" s="15" t="n">
        <v>15</v>
      </c>
      <c r="D7" s="10" t="n">
        <v>12</v>
      </c>
      <c r="E7" s="12">
        <f>IF(B7="","",B7^2/162)</f>
        <v/>
      </c>
      <c r="F7" s="13">
        <f>IF(OR(C7="",D7=""),"",IF($D$3="FPS",C7*D7/3.28084,C7*D7))</f>
        <v/>
      </c>
      <c r="G7" s="13">
        <f>IF(OR(B7="",C7="",D7=""),"",(B7^2/162)*IF($D$3="FPS",C7*D7/3.28084,C7*D7))</f>
        <v/>
      </c>
      <c r="H7" s="13">
        <f>IF(G7="","",G7*2.20462)</f>
        <v/>
      </c>
    </row>
    <row r="8">
      <c r="A8" s="9" t="n">
        <v>3</v>
      </c>
      <c r="B8" s="15" t="n">
        <v>12</v>
      </c>
      <c r="C8" s="15" t="n">
        <v>10</v>
      </c>
      <c r="D8" s="10" t="n">
        <v>12</v>
      </c>
      <c r="E8" s="12">
        <f>IF(B8="","",B8^2/162)</f>
        <v/>
      </c>
      <c r="F8" s="13">
        <f>IF(OR(C8="",D8=""),"",IF($D$3="FPS",C8*D8/3.28084,C8*D8))</f>
        <v/>
      </c>
      <c r="G8" s="13">
        <f>IF(OR(B8="",C8="",D8=""),"",(B8^2/162)*IF($D$3="FPS",C8*D8/3.28084,C8*D8))</f>
        <v/>
      </c>
      <c r="H8" s="13">
        <f>IF(G8="","",G8*2.20462)</f>
        <v/>
      </c>
    </row>
    <row r="9">
      <c r="A9" s="9" t="n">
        <v>4</v>
      </c>
      <c r="B9" s="15" t="n">
        <v>16</v>
      </c>
      <c r="C9" s="15" t="n">
        <v>8</v>
      </c>
      <c r="D9" s="10" t="n">
        <v>12</v>
      </c>
      <c r="E9" s="12">
        <f>IF(B9="","",B9^2/162)</f>
        <v/>
      </c>
      <c r="F9" s="13">
        <f>IF(OR(C9="",D9=""),"",IF($D$3="FPS",C9*D9/3.28084,C9*D9))</f>
        <v/>
      </c>
      <c r="G9" s="13">
        <f>IF(OR(B9="",C9="",D9=""),"",(B9^2/162)*IF($D$3="FPS",C9*D9/3.28084,C9*D9))</f>
        <v/>
      </c>
      <c r="H9" s="13">
        <f>IF(G9="","",G9*2.20462)</f>
        <v/>
      </c>
    </row>
    <row r="10">
      <c r="A10" s="9" t="n">
        <v>5</v>
      </c>
      <c r="B10" s="15" t="n">
        <v>20</v>
      </c>
      <c r="C10" s="15" t="n">
        <v>4</v>
      </c>
      <c r="D10" s="10" t="n">
        <v>12</v>
      </c>
      <c r="E10" s="12">
        <f>IF(B10="","",B10^2/162)</f>
        <v/>
      </c>
      <c r="F10" s="13">
        <f>IF(OR(C10="",D10=""),"",IF($D$3="FPS",C10*D10/3.28084,C10*D10))</f>
        <v/>
      </c>
      <c r="G10" s="13">
        <f>IF(OR(B10="",C10="",D10=""),"",(B10^2/162)*IF($D$3="FPS",C10*D10/3.28084,C10*D10))</f>
        <v/>
      </c>
      <c r="H10" s="13">
        <f>IF(G10="","",G10*2.20462)</f>
        <v/>
      </c>
    </row>
    <row r="11">
      <c r="A11" s="9" t="n">
        <v>6</v>
      </c>
      <c r="B11" s="15" t="n"/>
      <c r="C11" s="15" t="n"/>
      <c r="D11" s="10" t="n"/>
      <c r="E11" s="12">
        <f>IF(B11="","",B11^2/162)</f>
        <v/>
      </c>
      <c r="F11" s="13">
        <f>IF(OR(C11="",D11=""),"",IF($D$3="FPS",C11*D11/3.28084,C11*D11))</f>
        <v/>
      </c>
      <c r="G11" s="13">
        <f>IF(OR(B11="",C11="",D11=""),"",(B11^2/162)*IF($D$3="FPS",C11*D11/3.28084,C11*D11))</f>
        <v/>
      </c>
      <c r="H11" s="13">
        <f>IF(G11="","",G11*2.20462)</f>
        <v/>
      </c>
    </row>
    <row r="12">
      <c r="A12" s="9" t="n">
        <v>7</v>
      </c>
      <c r="B12" s="15" t="n"/>
      <c r="C12" s="15" t="n"/>
      <c r="D12" s="10" t="n"/>
      <c r="E12" s="12">
        <f>IF(B12="","",B12^2/162)</f>
        <v/>
      </c>
      <c r="F12" s="13">
        <f>IF(OR(C12="",D12=""),"",IF($D$3="FPS",C12*D12/3.28084,C12*D12))</f>
        <v/>
      </c>
      <c r="G12" s="13">
        <f>IF(OR(B12="",C12="",D12=""),"",(B12^2/162)*IF($D$3="FPS",C12*D12/3.28084,C12*D12))</f>
        <v/>
      </c>
      <c r="H12" s="13">
        <f>IF(G12="","",G12*2.20462)</f>
        <v/>
      </c>
    </row>
    <row r="13">
      <c r="A13" s="9" t="n">
        <v>8</v>
      </c>
      <c r="B13" s="15" t="n"/>
      <c r="C13" s="15" t="n"/>
      <c r="D13" s="10" t="n"/>
      <c r="E13" s="12">
        <f>IF(B13="","",B13^2/162)</f>
        <v/>
      </c>
      <c r="F13" s="13">
        <f>IF(OR(C13="",D13=""),"",IF($D$3="FPS",C13*D13/3.28084,C13*D13))</f>
        <v/>
      </c>
      <c r="G13" s="13">
        <f>IF(OR(B13="",C13="",D13=""),"",(B13^2/162)*IF($D$3="FPS",C13*D13/3.28084,C13*D13))</f>
        <v/>
      </c>
      <c r="H13" s="13">
        <f>IF(G13="","",G13*2.20462)</f>
        <v/>
      </c>
    </row>
    <row r="14">
      <c r="A14" s="9" t="n">
        <v>9</v>
      </c>
      <c r="B14" s="15" t="n"/>
      <c r="C14" s="15" t="n"/>
      <c r="D14" s="10" t="n"/>
      <c r="E14" s="12">
        <f>IF(B14="","",B14^2/162)</f>
        <v/>
      </c>
      <c r="F14" s="13">
        <f>IF(OR(C14="",D14=""),"",IF($D$3="FPS",C14*D14/3.28084,C14*D14))</f>
        <v/>
      </c>
      <c r="G14" s="13">
        <f>IF(OR(B14="",C14="",D14=""),"",(B14^2/162)*IF($D$3="FPS",C14*D14/3.28084,C14*D14))</f>
        <v/>
      </c>
      <c r="H14" s="13">
        <f>IF(G14="","",G14*2.20462)</f>
        <v/>
      </c>
    </row>
    <row r="15">
      <c r="A15" s="9" t="n">
        <v>10</v>
      </c>
      <c r="B15" s="15" t="n"/>
      <c r="C15" s="15" t="n"/>
      <c r="D15" s="10" t="n"/>
      <c r="E15" s="12">
        <f>IF(B15="","",B15^2/162)</f>
        <v/>
      </c>
      <c r="F15" s="13">
        <f>IF(OR(C15="",D15=""),"",IF($D$3="FPS",C15*D15/3.28084,C15*D15))</f>
        <v/>
      </c>
      <c r="G15" s="13">
        <f>IF(OR(B15="",C15="",D15=""),"",(B15^2/162)*IF($D$3="FPS",C15*D15/3.28084,C15*D15))</f>
        <v/>
      </c>
      <c r="H15" s="13">
        <f>IF(G15="","",G15*2.20462)</f>
        <v/>
      </c>
    </row>
    <row r="16">
      <c r="A16" s="9" t="n">
        <v>11</v>
      </c>
      <c r="B16" s="15" t="n"/>
      <c r="C16" s="15" t="n"/>
      <c r="D16" s="10" t="n"/>
      <c r="E16" s="12">
        <f>IF(B16="","",B16^2/162)</f>
        <v/>
      </c>
      <c r="F16" s="13">
        <f>IF(OR(C16="",D16=""),"",IF($D$3="FPS",C16*D16/3.28084,C16*D16))</f>
        <v/>
      </c>
      <c r="G16" s="13">
        <f>IF(OR(B16="",C16="",D16=""),"",(B16^2/162)*IF($D$3="FPS",C16*D16/3.28084,C16*D16))</f>
        <v/>
      </c>
      <c r="H16" s="13">
        <f>IF(G16="","",G16*2.20462)</f>
        <v/>
      </c>
    </row>
    <row r="17">
      <c r="A17" s="9" t="n">
        <v>12</v>
      </c>
      <c r="B17" s="15" t="n"/>
      <c r="C17" s="15" t="n"/>
      <c r="D17" s="10" t="n"/>
      <c r="E17" s="12">
        <f>IF(B17="","",B17^2/162)</f>
        <v/>
      </c>
      <c r="F17" s="13">
        <f>IF(OR(C17="",D17=""),"",IF($D$3="FPS",C17*D17/3.28084,C17*D17))</f>
        <v/>
      </c>
      <c r="G17" s="13">
        <f>IF(OR(B17="",C17="",D17=""),"",(B17^2/162)*IF($D$3="FPS",C17*D17/3.28084,C17*D17))</f>
        <v/>
      </c>
      <c r="H17" s="13">
        <f>IF(G17="","",G17*2.20462)</f>
        <v/>
      </c>
    </row>
    <row r="18">
      <c r="A18" s="9" t="n">
        <v>13</v>
      </c>
      <c r="B18" s="15" t="n"/>
      <c r="C18" s="15" t="n"/>
      <c r="D18" s="10" t="n"/>
      <c r="E18" s="12">
        <f>IF(B18="","",B18^2/162)</f>
        <v/>
      </c>
      <c r="F18" s="13">
        <f>IF(OR(C18="",D18=""),"",IF($D$3="FPS",C18*D18/3.28084,C18*D18))</f>
        <v/>
      </c>
      <c r="G18" s="13">
        <f>IF(OR(B18="",C18="",D18=""),"",(B18^2/162)*IF($D$3="FPS",C18*D18/3.28084,C18*D18))</f>
        <v/>
      </c>
      <c r="H18" s="13">
        <f>IF(G18="","",G18*2.20462)</f>
        <v/>
      </c>
    </row>
    <row r="19">
      <c r="A19" s="9" t="n">
        <v>14</v>
      </c>
      <c r="B19" s="15" t="n"/>
      <c r="C19" s="15" t="n"/>
      <c r="D19" s="10" t="n"/>
      <c r="E19" s="12">
        <f>IF(B19="","",B19^2/162)</f>
        <v/>
      </c>
      <c r="F19" s="13">
        <f>IF(OR(C19="",D19=""),"",IF($D$3="FPS",C19*D19/3.28084,C19*D19))</f>
        <v/>
      </c>
      <c r="G19" s="13">
        <f>IF(OR(B19="",C19="",D19=""),"",(B19^2/162)*IF($D$3="FPS",C19*D19/3.28084,C19*D19))</f>
        <v/>
      </c>
      <c r="H19" s="13">
        <f>IF(G19="","",G19*2.20462)</f>
        <v/>
      </c>
    </row>
    <row r="20">
      <c r="A20" s="9" t="n">
        <v>15</v>
      </c>
      <c r="B20" s="15" t="n"/>
      <c r="C20" s="15" t="n"/>
      <c r="D20" s="10" t="n"/>
      <c r="E20" s="12">
        <f>IF(B20="","",B20^2/162)</f>
        <v/>
      </c>
      <c r="F20" s="13">
        <f>IF(OR(C20="",D20=""),"",IF($D$3="FPS",C20*D20/3.28084,C20*D20))</f>
        <v/>
      </c>
      <c r="G20" s="13">
        <f>IF(OR(B20="",C20="",D20=""),"",(B20^2/162)*IF($D$3="FPS",C20*D20/3.28084,C20*D20))</f>
        <v/>
      </c>
      <c r="H20" s="13">
        <f>IF(G20="","",G20*2.20462)</f>
        <v/>
      </c>
    </row>
    <row r="21">
      <c r="A21" s="9" t="n">
        <v>16</v>
      </c>
      <c r="B21" s="15" t="n"/>
      <c r="C21" s="15" t="n"/>
      <c r="D21" s="10" t="n"/>
      <c r="E21" s="12">
        <f>IF(B21="","",B21^2/162)</f>
        <v/>
      </c>
      <c r="F21" s="13">
        <f>IF(OR(C21="",D21=""),"",IF($D$3="FPS",C21*D21/3.28084,C21*D21))</f>
        <v/>
      </c>
      <c r="G21" s="13">
        <f>IF(OR(B21="",C21="",D21=""),"",(B21^2/162)*IF($D$3="FPS",C21*D21/3.28084,C21*D21))</f>
        <v/>
      </c>
      <c r="H21" s="13">
        <f>IF(G21="","",G21*2.20462)</f>
        <v/>
      </c>
    </row>
    <row r="22">
      <c r="A22" s="9" t="n">
        <v>17</v>
      </c>
      <c r="B22" s="15" t="n"/>
      <c r="C22" s="15" t="n"/>
      <c r="D22" s="10" t="n"/>
      <c r="E22" s="12">
        <f>IF(B22="","",B22^2/162)</f>
        <v/>
      </c>
      <c r="F22" s="13">
        <f>IF(OR(C22="",D22=""),"",IF($D$3="FPS",C22*D22/3.28084,C22*D22))</f>
        <v/>
      </c>
      <c r="G22" s="13">
        <f>IF(OR(B22="",C22="",D22=""),"",(B22^2/162)*IF($D$3="FPS",C22*D22/3.28084,C22*D22))</f>
        <v/>
      </c>
      <c r="H22" s="13">
        <f>IF(G22="","",G22*2.20462)</f>
        <v/>
      </c>
    </row>
    <row r="23">
      <c r="A23" s="9" t="n">
        <v>18</v>
      </c>
      <c r="B23" s="15" t="n"/>
      <c r="C23" s="15" t="n"/>
      <c r="D23" s="10" t="n"/>
      <c r="E23" s="12">
        <f>IF(B23="","",B23^2/162)</f>
        <v/>
      </c>
      <c r="F23" s="13">
        <f>IF(OR(C23="",D23=""),"",IF($D$3="FPS",C23*D23/3.28084,C23*D23))</f>
        <v/>
      </c>
      <c r="G23" s="13">
        <f>IF(OR(B23="",C23="",D23=""),"",(B23^2/162)*IF($D$3="FPS",C23*D23/3.28084,C23*D23))</f>
        <v/>
      </c>
      <c r="H23" s="13">
        <f>IF(G23="","",G23*2.20462)</f>
        <v/>
      </c>
    </row>
    <row r="24">
      <c r="A24" s="9" t="n">
        <v>19</v>
      </c>
      <c r="B24" s="15" t="n"/>
      <c r="C24" s="15" t="n"/>
      <c r="D24" s="10" t="n"/>
      <c r="E24" s="12">
        <f>IF(B24="","",B24^2/162)</f>
        <v/>
      </c>
      <c r="F24" s="13">
        <f>IF(OR(C24="",D24=""),"",IF($D$3="FPS",C24*D24/3.28084,C24*D24))</f>
        <v/>
      </c>
      <c r="G24" s="13">
        <f>IF(OR(B24="",C24="",D24=""),"",(B24^2/162)*IF($D$3="FPS",C24*D24/3.28084,C24*D24))</f>
        <v/>
      </c>
      <c r="H24" s="13">
        <f>IF(G24="","",G24*2.20462)</f>
        <v/>
      </c>
    </row>
    <row r="25">
      <c r="A25" s="9" t="n">
        <v>20</v>
      </c>
      <c r="B25" s="15" t="n"/>
      <c r="C25" s="15" t="n"/>
      <c r="D25" s="10" t="n"/>
      <c r="E25" s="12">
        <f>IF(B25="","",B25^2/162)</f>
        <v/>
      </c>
      <c r="F25" s="13">
        <f>IF(OR(C25="",D25=""),"",IF($D$3="FPS",C25*D25/3.28084,C25*D25))</f>
        <v/>
      </c>
      <c r="G25" s="13">
        <f>IF(OR(B25="",C25="",D25=""),"",(B25^2/162)*IF($D$3="FPS",C25*D25/3.28084,C25*D25))</f>
        <v/>
      </c>
      <c r="H25" s="13">
        <f>IF(G25="","",G25*2.20462)</f>
        <v/>
      </c>
    </row>
    <row r="27">
      <c r="B27" s="3" t="inlineStr">
        <is>
          <t>GRAND TOTAL WEIGHT (kg)</t>
        </is>
      </c>
      <c r="G27" s="13">
        <f>SUM(G6:G25)</f>
        <v/>
      </c>
    </row>
    <row r="28">
      <c r="B28" s="3" t="inlineStr">
        <is>
          <t>GRAND TOTAL WEIGHT (tonnes)</t>
        </is>
      </c>
      <c r="G28" s="12">
        <f>G27/1000</f>
        <v/>
      </c>
    </row>
    <row r="29">
      <c r="B29" s="3" t="inlineStr">
        <is>
          <t>GRAND TOTAL WEIGHT (lb)</t>
        </is>
      </c>
      <c r="G29" s="13">
        <f>SUM(H6:H25)</f>
        <v/>
      </c>
    </row>
    <row r="30">
      <c r="B30" s="3" t="inlineStr">
        <is>
          <t>GRAND TOTAL WEIGHT (US tons)</t>
        </is>
      </c>
      <c r="G30" s="12">
        <f>G29/2000</f>
        <v/>
      </c>
    </row>
    <row r="32">
      <c r="B32" s="18" t="inlineStr">
        <is>
          <t>In FPS, enter each bar's length in feet — weights are converted and shown in both kg and lb. Add cutting / lap wastage as extra length in the rows above if your bar-bending schedule requires it.</t>
        </is>
      </c>
    </row>
    <row r="33"/>
  </sheetData>
  <mergeCells count="4">
    <mergeCell ref="A3:C3"/>
    <mergeCell ref="A2:H2"/>
    <mergeCell ref="B32:H33"/>
    <mergeCell ref="A1:H1"/>
  </mergeCells>
  <dataValidations count="1">
    <dataValidation sqref="D3" showDropDown="0" showInputMessage="0" showErrorMessage="0" allowBlank="1" type="list">
      <formula1>"MKS,FPS"</formula1>
    </dataValidation>
  </dataValidations>
  <printOptions horizontalCentered="1"/>
  <pageMargins left="0.75" right="0.7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I34"/>
  <sheetViews>
    <sheetView workbookViewId="0">
      <pane ySplit="2" topLeftCell="A3" activePane="bottomLeft" state="frozen"/>
      <selection pane="bottomLeft" activeCell="A1" sqref="A1"/>
    </sheetView>
  </sheetViews>
  <sheetFormatPr baseColWidth="8" defaultRowHeight="15"/>
  <cols>
    <col width="3" customWidth="1" min="1" max="1"/>
    <col width="46" customWidth="1" min="2" max="2"/>
    <col width="16" customWidth="1" min="3" max="3"/>
    <col width="12" customWidth="1" min="4" max="4"/>
    <col width="3" customWidth="1" min="5" max="5"/>
    <col width="12" customWidth="1" min="6" max="6"/>
    <col width="10" customWidth="1" min="7" max="7"/>
    <col width="10" customWidth="1" min="8" max="8"/>
    <col width="10" customWidth="1" min="9" max="9"/>
  </cols>
  <sheetData>
    <row r="1" ht="30" customHeight="1">
      <c r="A1" s="1" t="inlineStr">
        <is>
          <t>Brick Masonry Estimator</t>
        </is>
      </c>
    </row>
    <row r="2" ht="26" customHeight="1">
      <c r="A2" s="2" t="inlineStr">
        <is>
          <t>Bricks, mortar, cement and sand for a brick wall. Light-yellow cells are inputs.</t>
        </is>
      </c>
    </row>
    <row r="3">
      <c r="B3" s="3" t="inlineStr">
        <is>
          <t>Unit system — MKS (metric) or FPS (imperial)</t>
        </is>
      </c>
      <c r="C3" s="5" t="inlineStr">
        <is>
          <t>MKS</t>
        </is>
      </c>
      <c r="F3" s="6" t="inlineStr">
        <is>
          <t>Mortar</t>
        </is>
      </c>
      <c r="G3" s="6" t="inlineStr">
        <is>
          <t>Cement</t>
        </is>
      </c>
      <c r="H3" s="6" t="inlineStr">
        <is>
          <t>Sand</t>
        </is>
      </c>
      <c r="I3" s="6" t="inlineStr">
        <is>
          <t>Total</t>
        </is>
      </c>
    </row>
    <row r="4">
      <c r="B4">
        <f>"Wall length ("&amp;IF($C$3="FPS","ft","m")&amp;")"</f>
        <v/>
      </c>
      <c r="C4" s="10" t="n">
        <v>10</v>
      </c>
      <c r="F4" s="8" t="inlineStr">
        <is>
          <t>1:4</t>
        </is>
      </c>
      <c r="G4" t="n">
        <v>1</v>
      </c>
      <c r="H4" t="n">
        <v>4</v>
      </c>
      <c r="I4" s="9">
        <f>SUM(G4:H4)</f>
        <v/>
      </c>
    </row>
    <row r="5">
      <c r="B5">
        <f>"Wall height ("&amp;IF($C$3="FPS","ft","m")&amp;")"</f>
        <v/>
      </c>
      <c r="C5" s="10" t="n">
        <v>3</v>
      </c>
      <c r="F5" s="8" t="inlineStr">
        <is>
          <t>1:6</t>
        </is>
      </c>
      <c r="G5" t="n">
        <v>1</v>
      </c>
      <c r="H5" t="n">
        <v>6</v>
      </c>
      <c r="I5" s="9">
        <f>SUM(G5:H5)</f>
        <v/>
      </c>
    </row>
    <row r="6">
      <c r="B6">
        <f>"Wall thickness ("&amp;IF($C$3="FPS","in","m")&amp;")"</f>
        <v/>
      </c>
      <c r="C6" s="11" t="n">
        <v>0.23</v>
      </c>
    </row>
    <row r="7">
      <c r="B7">
        <f>"Brick length ("&amp;IF($C$3="FPS","in","mm")&amp;")"</f>
        <v/>
      </c>
      <c r="C7" s="10" t="n">
        <v>230</v>
      </c>
    </row>
    <row r="8">
      <c r="B8">
        <f>"Brick width ("&amp;IF($C$3="FPS","in","mm")&amp;")"</f>
        <v/>
      </c>
      <c r="C8" s="10" t="n">
        <v>110</v>
      </c>
    </row>
    <row r="9">
      <c r="B9">
        <f>"Brick height ("&amp;IF($C$3="FPS","in","mm")&amp;")"</f>
        <v/>
      </c>
      <c r="C9" s="10" t="n">
        <v>70</v>
      </c>
    </row>
    <row r="10">
      <c r="B10">
        <f>"Mortar joint ("&amp;IF($C$3="FPS","in","mm")&amp;")"</f>
        <v/>
      </c>
      <c r="C10" s="11" t="n">
        <v>10</v>
      </c>
    </row>
    <row r="11">
      <c r="B11" s="20">
        <f>IF($C$3="FPS","FPS sizes: US modular brick 8 × 3.625 × 2.25 in, joint 0.375 in — enter those numbers above.","MKS sizes: standard brick 230 × 110 × 70 mm, joint 10 mm.")</f>
        <v/>
      </c>
    </row>
    <row r="12">
      <c r="B12" s="7" t="inlineStr">
        <is>
          <t>Mortar ratio</t>
        </is>
      </c>
      <c r="C12" s="5" t="inlineStr">
        <is>
          <t>1:4</t>
        </is>
      </c>
    </row>
    <row r="13">
      <c r="B13" s="7" t="inlineStr">
        <is>
          <t>Cement part (from table)</t>
        </is>
      </c>
      <c r="C13" s="13">
        <f>VLOOKUP(C12,$F$4:$I$5,2,FALSE)</f>
        <v/>
      </c>
    </row>
    <row r="14">
      <c r="B14" s="7" t="inlineStr">
        <is>
          <t>Sand part (from table)</t>
        </is>
      </c>
      <c r="C14" s="13">
        <f>VLOOKUP(C12,$F$4:$I$5,3,FALSE)</f>
        <v/>
      </c>
    </row>
    <row r="15">
      <c r="B15" s="7" t="inlineStr">
        <is>
          <t>Total parts</t>
        </is>
      </c>
      <c r="C15" s="13">
        <f>VLOOKUP(C12,$F$4:$I$5,4,FALSE)</f>
        <v/>
      </c>
    </row>
    <row r="16">
      <c r="B16" s="7" t="inlineStr">
        <is>
          <t>Mortar dry-volume factor</t>
        </is>
      </c>
      <c r="C16" s="10" t="n">
        <v>1.3</v>
      </c>
    </row>
    <row r="17">
      <c r="B17" s="7" t="inlineStr">
        <is>
          <t>Wastage (%)</t>
        </is>
      </c>
      <c r="C17" s="14" t="n">
        <v>5</v>
      </c>
    </row>
    <row r="18">
      <c r="B18" s="7" t="inlineStr">
        <is>
          <t>Cement density (kg/m³)</t>
        </is>
      </c>
      <c r="C18" s="15" t="n">
        <v>1440</v>
      </c>
    </row>
    <row r="20" ht="20" customHeight="1">
      <c r="A20" s="16" t="inlineStr">
        <is>
          <t>RESULTS</t>
        </is>
      </c>
    </row>
    <row r="21">
      <c r="B21" s="3" t="inlineStr">
        <is>
          <t>Wall volume (m³)</t>
        </is>
      </c>
      <c r="C21" s="12">
        <f>IF($C$3="FPS",(C4/3.28084)*(C5/3.28084)*(C6*0.0254),C4*C5*C6)</f>
        <v/>
      </c>
    </row>
    <row r="22">
      <c r="B22" s="7" t="inlineStr">
        <is>
          <t>Wall volume (cft)</t>
        </is>
      </c>
      <c r="C22" s="13">
        <f>C21*35.3147</f>
        <v/>
      </c>
    </row>
    <row r="23">
      <c r="B23" s="7" t="inlineStr">
        <is>
          <t>Volume of 1 brick with mortar (m³)</t>
        </is>
      </c>
      <c r="C23" s="21">
        <f>((IF($C$3="FPS",C7*0.0254,C7/1000))+(IF($C$3="FPS",C10*0.0254,C10/1000)))*((IF($C$3="FPS",C8*0.0254,C8/1000))+(IF($C$3="FPS",C10*0.0254,C10/1000)))*((IF($C$3="FPS",C9*0.0254,C9/1000))+(IF($C$3="FPS",C10*0.0254,C10/1000)))</f>
        <v/>
      </c>
    </row>
    <row r="24">
      <c r="B24" s="3" t="inlineStr">
        <is>
          <t>Number of bricks — before wastage</t>
        </is>
      </c>
      <c r="C24" s="22">
        <f>ROUNDUP(C21/C23,0)</f>
        <v/>
      </c>
    </row>
    <row r="25">
      <c r="B25" s="7" t="inlineStr">
        <is>
          <t>Number of bricks incl. wastage</t>
        </is>
      </c>
      <c r="C25" s="22">
        <f>ROUNDUP(C24*(1+C17/100),0)</f>
        <v/>
      </c>
    </row>
    <row r="26">
      <c r="B26" s="7" t="inlineStr">
        <is>
          <t>Actual volume of bricks (m³)</t>
        </is>
      </c>
      <c r="C26" s="12">
        <f>C24*(IF($C$3="FPS",C7*0.0254,C7/1000))*(IF($C$3="FPS",C8*0.0254,C8/1000))*(IF($C$3="FPS",C9*0.0254,C9/1000))</f>
        <v/>
      </c>
    </row>
    <row r="27">
      <c r="B27" s="7" t="inlineStr">
        <is>
          <t>Mortar wet volume (m³)</t>
        </is>
      </c>
      <c r="C27" s="12">
        <f>C21-C26</f>
        <v/>
      </c>
    </row>
    <row r="28">
      <c r="B28" s="7" t="inlineStr">
        <is>
          <t>Mortar dry volume (m³)</t>
        </is>
      </c>
      <c r="C28" s="12">
        <f>C27*C16</f>
        <v/>
      </c>
    </row>
    <row r="29">
      <c r="B29" s="7" t="inlineStr">
        <is>
          <t>Cement volume (m³)</t>
        </is>
      </c>
      <c r="C29" s="12">
        <f>C28*C13/C15</f>
        <v/>
      </c>
    </row>
    <row r="30">
      <c r="B30" s="3" t="inlineStr">
        <is>
          <t>Cement bags (50 kg) — before wastage</t>
        </is>
      </c>
      <c r="C30" s="13">
        <f>C29*C18/50</f>
        <v/>
      </c>
    </row>
    <row r="31">
      <c r="B31" s="7" t="inlineStr">
        <is>
          <t>Cement bags incl. wastage</t>
        </is>
      </c>
      <c r="C31" s="13">
        <f>C30*(1+C17/100)</f>
        <v/>
      </c>
    </row>
    <row r="32">
      <c r="B32" s="7" t="inlineStr">
        <is>
          <t>Sand volume (m³)</t>
        </is>
      </c>
      <c r="C32" s="12">
        <f>C28*C14/C15</f>
        <v/>
      </c>
    </row>
    <row r="33">
      <c r="B33" s="7" t="inlineStr">
        <is>
          <t>Sand (cft)</t>
        </is>
      </c>
      <c r="C33" s="17">
        <f>C32*35.3147</f>
        <v/>
      </c>
    </row>
    <row r="34">
      <c r="B34" s="7" t="inlineStr">
        <is>
          <t>Sand incl. wastage (cft)</t>
        </is>
      </c>
      <c r="C34" s="17">
        <f>C33*(1+C17/100)</f>
        <v/>
      </c>
    </row>
  </sheetData>
  <mergeCells count="4">
    <mergeCell ref="A1:I1"/>
    <mergeCell ref="B11:D11"/>
    <mergeCell ref="A20:D20"/>
    <mergeCell ref="A2:I2"/>
  </mergeCells>
  <dataValidations count="2">
    <dataValidation sqref="C3" showDropDown="0" showInputMessage="0" showErrorMessage="0" allowBlank="1" prompt="MKS = metres/mm/kg. FPS = feet/inches/lb." type="list">
      <formula1>"MKS,FPS"</formula1>
    </dataValidation>
    <dataValidation sqref="C12" showDropDown="0" showInputMessage="0" showErrorMessage="0" allowBlank="1" type="list">
      <formula1>"1:4,1:6"</formula1>
    </dataValidation>
  </dataValidations>
  <printOptions horizontalCentered="1"/>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I28"/>
  <sheetViews>
    <sheetView workbookViewId="0">
      <pane ySplit="2" topLeftCell="A3" activePane="bottomLeft" state="frozen"/>
      <selection pane="bottomLeft" activeCell="A1" sqref="A1"/>
    </sheetView>
  </sheetViews>
  <sheetFormatPr baseColWidth="8" defaultRowHeight="15"/>
  <cols>
    <col width="3" customWidth="1" min="1" max="1"/>
    <col width="46" customWidth="1" min="2" max="2"/>
    <col width="16" customWidth="1" min="3" max="3"/>
    <col width="12" customWidth="1" min="4" max="4"/>
    <col width="3" customWidth="1" min="5" max="5"/>
    <col width="12" customWidth="1" min="6" max="6"/>
    <col width="10" customWidth="1" min="7" max="7"/>
    <col width="10" customWidth="1" min="8" max="8"/>
    <col width="10" customWidth="1" min="9" max="9"/>
  </cols>
  <sheetData>
    <row r="1" ht="30" customHeight="1">
      <c r="A1" s="1" t="inlineStr">
        <is>
          <t>Plaster Calculator</t>
        </is>
      </c>
    </row>
    <row r="2" ht="26" customHeight="1">
      <c r="A2" s="2" t="inlineStr">
        <is>
          <t>Mortar, cement and sand for plastering. Light-yellow cells are inputs.</t>
        </is>
      </c>
    </row>
    <row r="3">
      <c r="B3" s="3" t="inlineStr">
        <is>
          <t>Unit system — MKS (metric) or FPS (imperial)</t>
        </is>
      </c>
      <c r="C3" s="5" t="inlineStr">
        <is>
          <t>MKS</t>
        </is>
      </c>
      <c r="F3" s="6" t="inlineStr">
        <is>
          <t>Mortar</t>
        </is>
      </c>
      <c r="G3" s="6" t="inlineStr">
        <is>
          <t>Cement</t>
        </is>
      </c>
      <c r="H3" s="6" t="inlineStr">
        <is>
          <t>Sand</t>
        </is>
      </c>
      <c r="I3" s="6" t="inlineStr">
        <is>
          <t>Total</t>
        </is>
      </c>
    </row>
    <row r="4">
      <c r="B4">
        <f>"Wall length ("&amp;IF($C$3="FPS","ft","m")&amp;")"</f>
        <v/>
      </c>
      <c r="C4" s="10" t="n">
        <v>10</v>
      </c>
      <c r="F4" s="8" t="inlineStr">
        <is>
          <t>1:4</t>
        </is>
      </c>
      <c r="G4" t="n">
        <v>1</v>
      </c>
      <c r="H4" t="n">
        <v>4</v>
      </c>
      <c r="I4" s="9">
        <f>SUM(G4:H4)</f>
        <v/>
      </c>
    </row>
    <row r="5">
      <c r="B5">
        <f>"Wall height ("&amp;IF($C$3="FPS","ft","m")&amp;")"</f>
        <v/>
      </c>
      <c r="C5" s="10" t="n">
        <v>3</v>
      </c>
      <c r="F5" s="8" t="inlineStr">
        <is>
          <t>1:6</t>
        </is>
      </c>
      <c r="G5" t="n">
        <v>1</v>
      </c>
      <c r="H5" t="n">
        <v>6</v>
      </c>
      <c r="I5" s="9">
        <f>SUM(G5:H5)</f>
        <v/>
      </c>
    </row>
    <row r="6">
      <c r="B6" s="7" t="inlineStr">
        <is>
          <t>Area from dimensions (m²)</t>
        </is>
      </c>
      <c r="C6" s="13">
        <f>IF($C$3="FPS",(C4/3.28084)*(C5/3.28084),C4*C5)</f>
        <v/>
      </c>
    </row>
    <row r="7">
      <c r="B7">
        <f>"OR direct area ("&amp;IF($C$3="FPS","ft²","m²")&amp;") — leave blank to use dimensions"</f>
        <v/>
      </c>
      <c r="C7" s="10" t="n"/>
    </row>
    <row r="8">
      <c r="B8" s="3" t="inlineStr">
        <is>
          <t>Area used (m²)</t>
        </is>
      </c>
      <c r="C8" s="13">
        <f>IF(OR(C7="",C7=0),C6,IF($C$3="FPS",C7/(3.28084^2),C7))</f>
        <v/>
      </c>
    </row>
    <row r="9">
      <c r="B9">
        <f>"Plaster thickness ("&amp;IF($C$3="FPS","in","mm")&amp;")"</f>
        <v/>
      </c>
      <c r="C9" s="10" t="n">
        <v>12</v>
      </c>
    </row>
    <row r="10">
      <c r="B10" s="7" t="inlineStr">
        <is>
          <t>Mortar ratio</t>
        </is>
      </c>
      <c r="C10" s="5" t="inlineStr">
        <is>
          <t>1:4</t>
        </is>
      </c>
    </row>
    <row r="11">
      <c r="B11" s="7" t="inlineStr">
        <is>
          <t>Cement part (from table)</t>
        </is>
      </c>
      <c r="C11" s="13">
        <f>VLOOKUP(C10,$F$4:$I$5,2,FALSE)</f>
        <v/>
      </c>
    </row>
    <row r="12">
      <c r="B12" s="7" t="inlineStr">
        <is>
          <t>Sand part (from table)</t>
        </is>
      </c>
      <c r="C12" s="13">
        <f>VLOOKUP(C10,$F$4:$I$5,3,FALSE)</f>
        <v/>
      </c>
    </row>
    <row r="13">
      <c r="B13" s="7" t="inlineStr">
        <is>
          <t>Total parts</t>
        </is>
      </c>
      <c r="C13" s="13">
        <f>VLOOKUP(C10,$F$4:$I$5,4,FALSE)</f>
        <v/>
      </c>
    </row>
    <row r="14">
      <c r="B14" s="7" t="inlineStr">
        <is>
          <t>Mortar dry-volume factor</t>
        </is>
      </c>
      <c r="C14" s="10" t="n">
        <v>1.3</v>
      </c>
    </row>
    <row r="15">
      <c r="B15" s="7" t="inlineStr">
        <is>
          <t>Wastage (%)</t>
        </is>
      </c>
      <c r="C15" s="14" t="n">
        <v>5</v>
      </c>
    </row>
    <row r="16">
      <c r="B16" s="7" t="inlineStr">
        <is>
          <t>Cement density (kg/m³)</t>
        </is>
      </c>
      <c r="C16" s="15" t="n">
        <v>1440</v>
      </c>
    </row>
    <row r="18" ht="20" customHeight="1">
      <c r="A18" s="16" t="inlineStr">
        <is>
          <t>RESULTS</t>
        </is>
      </c>
    </row>
    <row r="19">
      <c r="B19" s="7" t="inlineStr">
        <is>
          <t>Area covered (ft²)</t>
        </is>
      </c>
      <c r="C19" s="17">
        <f>C8*(3.28084^2)</f>
        <v/>
      </c>
    </row>
    <row r="20">
      <c r="B20" s="7" t="inlineStr">
        <is>
          <t>Mortar wet volume (m³)</t>
        </is>
      </c>
      <c r="C20" s="12">
        <f>C8*IF($C$3="FPS",C9*0.0254,C9/1000)</f>
        <v/>
      </c>
    </row>
    <row r="21">
      <c r="B21" s="7" t="inlineStr">
        <is>
          <t>Mortar wet volume (cft)</t>
        </is>
      </c>
      <c r="C21" s="13">
        <f>C20*35.3147</f>
        <v/>
      </c>
    </row>
    <row r="22">
      <c r="B22" s="7" t="inlineStr">
        <is>
          <t>Mortar dry volume (m³)</t>
        </is>
      </c>
      <c r="C22" s="12">
        <f>C20*C14</f>
        <v/>
      </c>
    </row>
    <row r="23">
      <c r="B23" s="7" t="inlineStr">
        <is>
          <t>Cement volume (m³)</t>
        </is>
      </c>
      <c r="C23" s="12">
        <f>C22*C11/C13</f>
        <v/>
      </c>
    </row>
    <row r="24">
      <c r="B24" s="3" t="inlineStr">
        <is>
          <t>Cement bags (50 kg) — before wastage</t>
        </is>
      </c>
      <c r="C24" s="13">
        <f>C23*C16/50</f>
        <v/>
      </c>
    </row>
    <row r="25">
      <c r="B25" s="7" t="inlineStr">
        <is>
          <t>Cement bags incl. wastage</t>
        </is>
      </c>
      <c r="C25" s="13">
        <f>C24*(1+C15/100)</f>
        <v/>
      </c>
    </row>
    <row r="26">
      <c r="B26" s="7" t="inlineStr">
        <is>
          <t>Sand volume (m³)</t>
        </is>
      </c>
      <c r="C26" s="12">
        <f>C22*C12/C13</f>
        <v/>
      </c>
    </row>
    <row r="27">
      <c r="B27" s="7" t="inlineStr">
        <is>
          <t>Sand (cft)</t>
        </is>
      </c>
      <c r="C27" s="17">
        <f>C26*35.3147</f>
        <v/>
      </c>
    </row>
    <row r="28">
      <c r="B28" s="7" t="inlineStr">
        <is>
          <t>Sand incl. wastage (cft)</t>
        </is>
      </c>
      <c r="C28" s="17">
        <f>C27*(1+C15/100)</f>
        <v/>
      </c>
    </row>
  </sheetData>
  <mergeCells count="3">
    <mergeCell ref="A1:I1"/>
    <mergeCell ref="A18:D18"/>
    <mergeCell ref="A2:I2"/>
  </mergeCells>
  <dataValidations count="2">
    <dataValidation sqref="C3" showDropDown="0" showInputMessage="0" showErrorMessage="0" allowBlank="1" prompt="MKS = metres/mm/kg. FPS = feet/inches/lb." type="list">
      <formula1>"MKS,FPS"</formula1>
    </dataValidation>
    <dataValidation sqref="C10" showDropDown="0" showInputMessage="0" showErrorMessage="0" allowBlank="1" type="list">
      <formula1>"1:4,1:6"</formula1>
    </dataValidation>
  </dataValidations>
  <printOptions horizontalCentered="1"/>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F28"/>
  <sheetViews>
    <sheetView workbookViewId="0">
      <pane ySplit="5" topLeftCell="A6" activePane="bottomLeft" state="frozen"/>
      <selection pane="bottomLeft" activeCell="A1" sqref="A1"/>
    </sheetView>
  </sheetViews>
  <sheetFormatPr baseColWidth="8" defaultRowHeight="15"/>
  <cols>
    <col width="8" customWidth="1" min="1" max="1"/>
    <col width="58" customWidth="1" min="2" max="2"/>
    <col width="10" customWidth="1" min="3" max="3"/>
    <col width="14" customWidth="1" min="4" max="4"/>
    <col width="16" customWidth="1" min="5" max="5"/>
    <col width="20" customWidth="1" min="6" max="6"/>
  </cols>
  <sheetData>
    <row r="1" ht="30" customHeight="1">
      <c r="A1" s="1" t="inlineStr">
        <is>
          <t>BOQ — Bill of Quantities Estimate</t>
        </is>
      </c>
    </row>
    <row r="2" ht="26" customHeight="1">
      <c r="A2" s="2" t="inlineStr">
        <is>
          <t>Fill the light-yellow Qty and Rate (PKR) cells. Amounts, subtotals and totals calculate themselves. Rates are left at zero for you to price locally.</t>
        </is>
      </c>
    </row>
    <row r="3" ht="30" customHeight="1">
      <c r="A3" s="18" t="inlineStr">
        <is>
          <t>Units: the calculators in this workbook support both MKS (metric) and FPS (imperial) — pick the system at the top of each calculator sheet. This BOQ is unit-agnostic: the Unit column is free text, so use m³, cft, ft² or any unit you work in.</t>
        </is>
      </c>
    </row>
    <row r="5">
      <c r="A5" s="19" t="inlineStr">
        <is>
          <t>S.No</t>
        </is>
      </c>
      <c r="B5" s="19" t="inlineStr">
        <is>
          <t>Description of work</t>
        </is>
      </c>
      <c r="C5" s="19" t="inlineStr">
        <is>
          <t>Unit</t>
        </is>
      </c>
      <c r="D5" s="19" t="inlineStr">
        <is>
          <t>Qty</t>
        </is>
      </c>
      <c r="E5" s="19" t="inlineStr">
        <is>
          <t>Rate (PKR)</t>
        </is>
      </c>
      <c r="F5" s="19" t="inlineStr">
        <is>
          <t>Amount (PKR)</t>
        </is>
      </c>
    </row>
    <row r="6">
      <c r="A6" s="23" t="inlineStr">
        <is>
          <t>A — EARTHWORK &amp; FOUNDATION</t>
        </is>
      </c>
    </row>
    <row r="7">
      <c r="A7" s="9" t="n">
        <v>1</v>
      </c>
      <c r="B7" s="7" t="inlineStr">
        <is>
          <t>Excavation in foundation trenches, incl. disposal</t>
        </is>
      </c>
      <c r="C7" s="9" t="inlineStr">
        <is>
          <t>m³</t>
        </is>
      </c>
      <c r="D7" s="10" t="n"/>
      <c r="E7" s="15" t="n">
        <v>0</v>
      </c>
      <c r="F7" s="22">
        <f>IF(OR(D7="",E7=""),"",D7*E7)</f>
        <v/>
      </c>
    </row>
    <row r="8">
      <c r="A8" s="9" t="n">
        <v>2</v>
      </c>
      <c r="B8" s="7" t="inlineStr">
        <is>
          <t>PCC 1:4:8 in foundation / under flooring</t>
        </is>
      </c>
      <c r="C8" s="9" t="inlineStr">
        <is>
          <t>m³</t>
        </is>
      </c>
      <c r="D8" s="10" t="n"/>
      <c r="E8" s="15" t="n">
        <v>0</v>
      </c>
      <c r="F8" s="22">
        <f>IF(OR(D8="",E8=""),"",D8*E8)</f>
        <v/>
      </c>
    </row>
    <row r="9">
      <c r="A9" s="9" t="n">
        <v>3</v>
      </c>
      <c r="B9" s="7" t="inlineStr">
        <is>
          <t>Backfilling &amp; compaction with excavated earth</t>
        </is>
      </c>
      <c r="C9" s="9" t="inlineStr">
        <is>
          <t>m³</t>
        </is>
      </c>
      <c r="D9" s="10" t="n"/>
      <c r="E9" s="15" t="n">
        <v>0</v>
      </c>
      <c r="F9" s="22">
        <f>IF(OR(D9="",E9=""),"",D9*E9)</f>
        <v/>
      </c>
    </row>
    <row r="10">
      <c r="B10" s="3" t="inlineStr">
        <is>
          <t>Subtotal</t>
        </is>
      </c>
      <c r="F10" s="22">
        <f>SUM(F7:F9)</f>
        <v/>
      </c>
    </row>
    <row r="12">
      <c r="A12" s="23" t="inlineStr">
        <is>
          <t>B — STRUCTURE (RCC &amp; STEEL)</t>
        </is>
      </c>
    </row>
    <row r="13">
      <c r="A13" s="9" t="n">
        <v>4</v>
      </c>
      <c r="B13" s="7" t="inlineStr">
        <is>
          <t>RCC 1:2:4 in columns, beams &amp; slab, incl. curing</t>
        </is>
      </c>
      <c r="C13" s="9" t="inlineStr">
        <is>
          <t>m³</t>
        </is>
      </c>
      <c r="D13" s="10" t="n"/>
      <c r="E13" s="15" t="n">
        <v>0</v>
      </c>
      <c r="F13" s="22">
        <f>IF(OR(D13="",E13=""),"",D13*E13)</f>
        <v/>
      </c>
    </row>
    <row r="14">
      <c r="A14" s="9" t="n">
        <v>5</v>
      </c>
      <c r="B14" s="7" t="inlineStr">
        <is>
          <t>Reinforcement steel, cut, bent &amp; fixed in position</t>
        </is>
      </c>
      <c r="C14" s="9" t="inlineStr">
        <is>
          <t>kg</t>
        </is>
      </c>
      <c r="D14" s="10" t="n"/>
      <c r="E14" s="15" t="n">
        <v>0</v>
      </c>
      <c r="F14" s="22">
        <f>IF(OR(D14="",E14=""),"",D14*E14)</f>
        <v/>
      </c>
    </row>
    <row r="15">
      <c r="A15" s="9" t="n">
        <v>6</v>
      </c>
      <c r="B15" s="7" t="inlineStr">
        <is>
          <t>Shuttering / formwork, incl. supports &amp; removal</t>
        </is>
      </c>
      <c r="C15" s="9" t="inlineStr">
        <is>
          <t>m²</t>
        </is>
      </c>
      <c r="D15" s="10" t="n"/>
      <c r="E15" s="15" t="n">
        <v>0</v>
      </c>
      <c r="F15" s="22">
        <f>IF(OR(D15="",E15=""),"",D15*E15)</f>
        <v/>
      </c>
    </row>
    <row r="16">
      <c r="B16" s="3" t="inlineStr">
        <is>
          <t>Subtotal</t>
        </is>
      </c>
      <c r="F16" s="22">
        <f>SUM(F13:F15)</f>
        <v/>
      </c>
    </row>
    <row r="18">
      <c r="A18" s="23" t="inlineStr">
        <is>
          <t>C — MASONRY &amp; FINISHES</t>
        </is>
      </c>
    </row>
    <row r="19">
      <c r="A19" s="9" t="n">
        <v>7</v>
      </c>
      <c r="B19" s="7" t="inlineStr">
        <is>
          <t>Brick masonry 230 mm in cement mortar 1:4</t>
        </is>
      </c>
      <c r="C19" s="9" t="inlineStr">
        <is>
          <t>m³</t>
        </is>
      </c>
      <c r="D19" s="10" t="n"/>
      <c r="E19" s="15" t="n">
        <v>0</v>
      </c>
      <c r="F19" s="22">
        <f>IF(OR(D19="",E19=""),"",D19*E19)</f>
        <v/>
      </c>
    </row>
    <row r="20">
      <c r="A20" s="9" t="n">
        <v>8</v>
      </c>
      <c r="B20" s="7" t="inlineStr">
        <is>
          <t>Cement plaster 12 mm thick, incl. curing</t>
        </is>
      </c>
      <c r="C20" s="9" t="inlineStr">
        <is>
          <t>m²</t>
        </is>
      </c>
      <c r="D20" s="10" t="n"/>
      <c r="E20" s="15" t="n">
        <v>0</v>
      </c>
      <c r="F20" s="22">
        <f>IF(OR(D20="",E20=""),"",D20*E20)</f>
        <v/>
      </c>
    </row>
    <row r="21">
      <c r="A21" s="9" t="n">
        <v>9</v>
      </c>
      <c r="B21" s="7" t="inlineStr">
        <is>
          <t>Flooring — tiles / marble, incl. bedding</t>
        </is>
      </c>
      <c r="C21" s="9" t="inlineStr">
        <is>
          <t>m²</t>
        </is>
      </c>
      <c r="D21" s="10" t="n"/>
      <c r="E21" s="15" t="n">
        <v>0</v>
      </c>
      <c r="F21" s="22">
        <f>IF(OR(D21="",E21=""),"",D21*E21)</f>
        <v/>
      </c>
    </row>
    <row r="22">
      <c r="A22" s="9" t="n">
        <v>10</v>
      </c>
      <c r="B22" s="7" t="inlineStr">
        <is>
          <t>Painting — 2 coats over primer, walls</t>
        </is>
      </c>
      <c r="C22" s="9" t="inlineStr">
        <is>
          <t>m²</t>
        </is>
      </c>
      <c r="D22" s="10" t="n"/>
      <c r="E22" s="15" t="n">
        <v>0</v>
      </c>
      <c r="F22" s="22">
        <f>IF(OR(D22="",E22=""),"",D22*E22)</f>
        <v/>
      </c>
    </row>
    <row r="23">
      <c r="B23" s="3" t="inlineStr">
        <is>
          <t>Subtotal</t>
        </is>
      </c>
      <c r="F23" s="22">
        <f>SUM(F19:F22)</f>
        <v/>
      </c>
    </row>
    <row r="25">
      <c r="B25" s="3" t="inlineStr">
        <is>
          <t>GRAND TOTAL (PKR)</t>
        </is>
      </c>
      <c r="F25" s="22">
        <f>F10+F16+F23</f>
        <v/>
      </c>
    </row>
    <row r="26">
      <c r="B26" s="7" t="inlineStr">
        <is>
          <t>Contingency (%)</t>
        </is>
      </c>
      <c r="E26" s="14" t="n">
        <v>5</v>
      </c>
    </row>
    <row r="27">
      <c r="B27" s="7" t="inlineStr">
        <is>
          <t>Contingency amount (PKR)</t>
        </is>
      </c>
      <c r="F27" s="22">
        <f>F25*E26/100</f>
        <v/>
      </c>
    </row>
    <row r="28">
      <c r="B28" s="3" t="inlineStr">
        <is>
          <t>FINAL TOTAL (PKR)</t>
        </is>
      </c>
      <c r="F28" s="22">
        <f>F25+F27</f>
        <v/>
      </c>
    </row>
  </sheetData>
  <mergeCells count="6">
    <mergeCell ref="A2:F2"/>
    <mergeCell ref="A1:F1"/>
    <mergeCell ref="A6:F6"/>
    <mergeCell ref="A12:F12"/>
    <mergeCell ref="A18:F18"/>
    <mergeCell ref="A3:F3"/>
  </mergeCells>
  <printOptions horizontalCentered="1"/>
  <pageMargins left="0.75" right="0.75" top="1" bottom="1" header="0.5" footer="0.5"/>
  <pageSetup orientation="portrait" paperSize="9" fitToHeight="0" fitToWidth="1"/>
</worksheet>
</file>

<file path=xl/worksheets/sheet7.xml><?xml version="1.0" encoding="utf-8"?>
<worksheet xmlns="http://schemas.openxmlformats.org/spreadsheetml/2006/main">
  <sheetPr>
    <outlinePr summaryBelow="1" summaryRight="1"/>
    <pageSetUpPr fitToPage="1"/>
  </sheetPr>
  <dimension ref="A1:D17"/>
  <sheetViews>
    <sheetView workbookViewId="0">
      <pane ySplit="2" topLeftCell="A3" activePane="bottomLeft" state="frozen"/>
      <selection pane="bottomLeft" activeCell="A1" sqref="A1"/>
    </sheetView>
  </sheetViews>
  <sheetFormatPr baseColWidth="8" defaultRowHeight="15"/>
  <cols>
    <col width="3" customWidth="1" min="1" max="1"/>
    <col width="46" customWidth="1" min="2" max="2"/>
    <col width="16" customWidth="1" min="3" max="3"/>
    <col width="12" customWidth="1" min="4" max="4"/>
  </cols>
  <sheetData>
    <row r="1" ht="30" customHeight="1">
      <c r="A1" s="1" t="inlineStr">
        <is>
          <t>Earthwork Calculator</t>
        </is>
      </c>
    </row>
    <row r="2" ht="26" customHeight="1">
      <c r="A2" s="2" t="inlineStr">
        <is>
          <t>Excavation / filling volume and vehicle trips. Light-yellow cells are inputs.</t>
        </is>
      </c>
    </row>
    <row r="3">
      <c r="B3" s="3" t="inlineStr">
        <is>
          <t>Unit system — MKS (metric) or FPS (imperial)</t>
        </is>
      </c>
      <c r="C3" s="5" t="inlineStr">
        <is>
          <t>MKS</t>
        </is>
      </c>
    </row>
    <row r="4">
      <c r="B4">
        <f>"Plot / area length ("&amp;IF($C$3="FPS","ft","m")&amp;")"</f>
        <v/>
      </c>
      <c r="C4" s="10" t="n">
        <v>15</v>
      </c>
    </row>
    <row r="5">
      <c r="B5">
        <f>"Plot / area width ("&amp;IF($C$3="FPS","ft","m")&amp;")"</f>
        <v/>
      </c>
      <c r="C5" s="10" t="n">
        <v>10</v>
      </c>
    </row>
    <row r="6">
      <c r="B6">
        <f>"Average depth of excavation / filling ("&amp;IF($C$3="FPS","ft","m")&amp;")"</f>
        <v/>
      </c>
      <c r="C6" s="10" t="n">
        <v>1.2</v>
      </c>
    </row>
    <row r="7">
      <c r="B7" s="7" t="inlineStr">
        <is>
          <t>Vehicle capacity (cft per trolley / truck)</t>
        </is>
      </c>
      <c r="C7" s="15" t="n">
        <v>250</v>
      </c>
    </row>
    <row r="9" ht="20" customHeight="1">
      <c r="A9" s="16" t="inlineStr">
        <is>
          <t>RESULTS</t>
        </is>
      </c>
    </row>
    <row r="10">
      <c r="B10" s="3" t="inlineStr">
        <is>
          <t>Volume (m³)</t>
        </is>
      </c>
      <c r="C10" s="13">
        <f>IF($C$3="FPS",(C4/3.28084)*(C5/3.28084)*(C6/3.28084),C4*C5*C6)</f>
        <v/>
      </c>
    </row>
    <row r="11">
      <c r="B11" s="7" t="inlineStr">
        <is>
          <t>Volume (cft)</t>
        </is>
      </c>
      <c r="C11" s="17">
        <f>C10*35.3147</f>
        <v/>
      </c>
    </row>
    <row r="12">
      <c r="B12" s="7" t="inlineStr">
        <is>
          <t>Volume (yd³)</t>
        </is>
      </c>
      <c r="C12" s="13">
        <f>C10*1.30795</f>
        <v/>
      </c>
    </row>
    <row r="13">
      <c r="B13" s="7" t="inlineStr">
        <is>
          <t>Vehicle trips (exact)</t>
        </is>
      </c>
      <c r="C13" s="13">
        <f>IF(C7=0,"",C11/C7)</f>
        <v/>
      </c>
    </row>
    <row r="14">
      <c r="B14" s="3" t="inlineStr">
        <is>
          <t>Vehicle trips (rounded up)</t>
        </is>
      </c>
      <c r="C14" s="22">
        <f>IF(C7=0,"",ROUNDUP(C11/C7,0))</f>
        <v/>
      </c>
    </row>
    <row r="16">
      <c r="B16" s="18" t="inlineStr">
        <is>
          <t>Tip: excavated soil bulks up — if you are hauling loose earth, increase the volume by your local swell factor (often 20–30%) before ordering trips.</t>
        </is>
      </c>
    </row>
    <row r="17"/>
  </sheetData>
  <mergeCells count="4">
    <mergeCell ref="B16:D17"/>
    <mergeCell ref="A1:D1"/>
    <mergeCell ref="A9:D9"/>
    <mergeCell ref="A2:D2"/>
  </mergeCells>
  <dataValidations count="1">
    <dataValidation sqref="C3" showDropDown="0" showInputMessage="0" showErrorMessage="0" allowBlank="1" prompt="MKS = metres/mm/kg. FPS = feet/inches/lb." type="list">
      <formula1>"MKS,FPS"</formula1>
    </dataValidation>
  </dataValidations>
  <printOptions horizontalCentered="1"/>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2026-10-21T16:09:14+00:00Z</dcterms:created>
  <dcterms:modified xmlns:dcterms="http://purl.org/dc/terms/" xmlns:xsi="http://www.w3.org/2001/XMLSchema-instance" xsi:type="dcterms:W3CDTF">2026-10-21T16:09:14+00:00Z</dcterms:modified>
</cp:coreProperties>
</file>